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3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<sst xmlns="http://schemas.openxmlformats.org/spreadsheetml/2006/main" count="25" uniqueCount="15">
  <si>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Sjöräddningen och Smedjan 75 tsek</t>
  </si>
  <si>
    <t>3917</t>
  </si>
  <si>
    <t>3919</t>
  </si>
  <si>
    <t>Summa egna intäkter</t>
  </si>
  <si>
    <t>Summa bidrag</t>
  </si>
  <si>
    <t>Summa  intäkter och bidrag</t>
  </si>
  <si>
    <t>Rörelsens kostnader</t>
  </si>
  <si>
    <t>Brottovinst</t>
  </si>
  <si>
    <t>Mat Shamrock varav kyrkan 180</t>
  </si>
  <si>
    <t>Transport Shamrock varav kyrkan 133</t>
  </si>
  <si>
    <t>Kurser 708  , kollo 940 , kajer 130</t>
  </si>
  <si>
    <t>Kollo</t>
  </si>
  <si>
    <t>6233</t>
  </si>
  <si>
    <t>IT hardware</t>
  </si>
  <si>
    <t>Bidrag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</si>
</sst>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49" fontId="31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="75" zoomScaleNormal="75" zoomScalePageLayoutView="0" workbookViewId="0" topLeftCell="A73">
      <selection activeCell="E102" sqref="E102"/>
    </sheetView>
  </sheetViews>
  <sheetFormatPr defaultColWidth="9.140625" defaultRowHeight="15"/>
  <cols>
    <col min="1" max="1" width="17.140625" style="0" customWidth="1"/>
    <col min="2" max="2" width="44.140625" style="0" customWidth="1"/>
    <col min="3" max="3" width="13.8515625" style="0" bestFit="1" customWidth="1"/>
    <col min="4" max="4" width="20.57421875" style="0" bestFit="1" customWidth="1"/>
  </cols>
  <sheetData>
    <row r="1" spans="1:4" ht="15">
      <c r="A1" s="1" t="str">
        <f>"Föreningen Skeppsholmsgården"</f>
        <v>Föreningen Skeppsholmsgården</v>
      </c>
      <c r="C1" s="1" t="str">
        <f>"Sida:"</f>
        <v>Sida:</v>
      </c>
      <c r="D1" s="1" t="str">
        <f>"1"</f>
        <v>1</v>
      </c>
    </row>
    <row r="2" spans="1:4" ht="15">
      <c r="A2" s="1" t="str">
        <f>"Resultatbudget"</f>
        <v>Resultatbudget</v>
      </c>
      <c r="C2" s="1" t="str">
        <f>"Utskrivet:"</f>
        <v>Utskrivet:</v>
      </c>
      <c r="D2" s="2">
        <v>42784</v>
      </c>
    </row>
    <row r="3" ht="15">
      <c r="D3" s="1" t="str">
        <f>"14:28"</f>
        <v>14:28</v>
      </c>
    </row>
    <row r="4" spans="1:4" ht="15">
      <c r="A4" s="1" t="str">
        <f>"Räkenskapsår: 17-01-01 - 17-12-31"</f>
        <v>Räkenskapsår: 17-01-01 - 17-12-31</v>
      </c>
      <c r="C4" s="1" t="str">
        <f>"Senaste vernr:"</f>
        <v>Senaste vernr:</v>
      </c>
      <c r="D4" s="1" t="str">
        <f>"A261"</f>
        <v>A261</v>
      </c>
    </row>
    <row r="5" spans="1:3" ht="15">
      <c r="A5" s="1" t="str">
        <f>"Konto"</f>
        <v>Konto</v>
      </c>
      <c r="B5" s="1" t="str">
        <f>"Benämning"</f>
        <v>Benämning</v>
      </c>
      <c r="C5" s="1" t="str">
        <f>"Budgeterat"</f>
        <v>Budgeterat</v>
      </c>
    </row>
    <row r="6" spans="1:4" ht="15">
      <c r="A6" s="3"/>
      <c r="B6" s="3"/>
      <c r="C6" s="3"/>
      <c r="D6" s="3"/>
    </row>
    <row r="7" spans="1:5" ht="15">
      <c r="A7" s="1" t="str">
        <f>"3040"</f>
        <v>3040</v>
      </c>
      <c r="B7" s="1" t="str">
        <f>"Försäljning  av tjänster/uthyrning av lokaler"</f>
        <v>Försäljning  av tjänster/uthyrning av lokaler</v>
      </c>
      <c r="C7" s="4">
        <v>105000</v>
      </c>
      <c r="E7" t="s">
        <v>0</v>
      </c>
    </row>
    <row r="8" spans="1:5" ht="15">
      <c r="A8" s="1" t="str">
        <f>"3041"</f>
        <v>3041</v>
      </c>
      <c r="B8" s="1" t="str">
        <f>"Försäljning av tjänster inom Sverige, moms 25 %"</f>
        <v>Försäljning av tjänster inom Sverige, moms 25 %</v>
      </c>
      <c r="C8" s="4">
        <v>1778000</v>
      </c>
      <c r="E8" t="s">
        <v>10</v>
      </c>
    </row>
    <row r="9" spans="1:5" ht="15">
      <c r="A9" s="1" t="str">
        <f>"3042"</f>
        <v>3042</v>
      </c>
      <c r="B9" s="1" t="str">
        <f>"Försäljning av tjänster inom Sverige, moms 12 %"</f>
        <v>Försäljning av tjänster inom Sverige, moms 12 %</v>
      </c>
      <c r="C9" s="4">
        <v>225000</v>
      </c>
      <c r="E9" t="s">
        <v>8</v>
      </c>
    </row>
    <row r="10" spans="1:5" ht="15">
      <c r="A10" s="1" t="str">
        <f>"3043"</f>
        <v>3043</v>
      </c>
      <c r="B10" s="1" t="str">
        <f>"Försäljning av tjänster inom Sverige, moms 6 %"</f>
        <v>Försäljning av tjänster inom Sverige, moms 6 %</v>
      </c>
      <c r="C10" s="4">
        <v>671000</v>
      </c>
      <c r="E10" t="s">
        <v>9</v>
      </c>
    </row>
    <row r="11" spans="1:3" ht="15">
      <c r="A11" s="5" t="s">
        <v>3</v>
      </c>
      <c r="B11" s="5"/>
      <c r="C11" s="6">
        <f>SUM(C7:C10)</f>
        <v>2779000</v>
      </c>
    </row>
    <row r="12" spans="1:3" ht="15">
      <c r="A12" s="1" t="str">
        <f>"3900"</f>
        <v>3900</v>
      </c>
      <c r="B12" s="1" t="str">
        <f>"Medlemsavgifter"</f>
        <v>Medlemsavgifter</v>
      </c>
      <c r="C12" s="4">
        <v>3500</v>
      </c>
    </row>
    <row r="13" spans="1:3" ht="15">
      <c r="A13" s="1" t="str">
        <f>"3901"</f>
        <v>3901</v>
      </c>
      <c r="B13" s="1" t="s">
        <v>14</v>
      </c>
      <c r="C13" s="4">
        <v>472000</v>
      </c>
    </row>
    <row r="14" spans="1:3" ht="15">
      <c r="A14" s="1" t="str">
        <f>"3903"</f>
        <v>3903</v>
      </c>
      <c r="B14" s="1" t="s">
        <v>14</v>
      </c>
      <c r="C14" s="4">
        <v>150000</v>
      </c>
    </row>
    <row r="15" spans="1:3" ht="15">
      <c r="A15" s="1" t="str">
        <f>"3907"</f>
        <v>3907</v>
      </c>
      <c r="B15" s="1" t="s">
        <v>14</v>
      </c>
      <c r="C15" s="4">
        <v>100000</v>
      </c>
    </row>
    <row r="16" spans="1:3" ht="15">
      <c r="A16" s="1" t="str">
        <f>"3910"</f>
        <v>3910</v>
      </c>
      <c r="B16" s="1" t="s">
        <v>14</v>
      </c>
      <c r="C16" s="4">
        <v>100000</v>
      </c>
    </row>
    <row r="17" spans="1:3" ht="15">
      <c r="A17" s="1" t="str">
        <f>"3911"</f>
        <v>3911</v>
      </c>
      <c r="B17" s="1" t="s">
        <v>14</v>
      </c>
      <c r="C17" s="4">
        <v>30000</v>
      </c>
    </row>
    <row r="18" spans="1:3" ht="15">
      <c r="A18" s="1" t="str">
        <f>"3912"</f>
        <v>3912</v>
      </c>
      <c r="B18" s="1" t="s">
        <v>14</v>
      </c>
      <c r="C18" s="4">
        <v>75000</v>
      </c>
    </row>
    <row r="19" spans="1:3" ht="15">
      <c r="A19" s="1" t="str">
        <f>"3915"</f>
        <v>3915</v>
      </c>
      <c r="B19" s="1" t="s">
        <v>14</v>
      </c>
      <c r="C19" s="4">
        <v>300000</v>
      </c>
    </row>
    <row r="20" spans="1:3" ht="15">
      <c r="A20" s="1" t="s">
        <v>1</v>
      </c>
      <c r="B20" s="1" t="s">
        <v>14</v>
      </c>
      <c r="C20" s="4">
        <v>150000</v>
      </c>
    </row>
    <row r="21" spans="1:3" ht="15">
      <c r="A21" s="1" t="s">
        <v>2</v>
      </c>
      <c r="B21" s="1" t="s">
        <v>14</v>
      </c>
      <c r="C21" s="4">
        <v>100000</v>
      </c>
    </row>
    <row r="22" spans="1:3" ht="15">
      <c r="A22" s="1" t="str">
        <f>"3922"</f>
        <v>3922</v>
      </c>
      <c r="B22" s="1" t="s">
        <v>14</v>
      </c>
      <c r="C22" s="4">
        <v>1050000</v>
      </c>
    </row>
    <row r="23" spans="1:3" ht="15">
      <c r="A23" s="1" t="str">
        <f>"3925"</f>
        <v>3925</v>
      </c>
      <c r="B23" s="1" t="s">
        <v>14</v>
      </c>
      <c r="C23" s="4">
        <v>25000</v>
      </c>
    </row>
    <row r="24" spans="1:3" ht="15">
      <c r="A24" s="1"/>
      <c r="B24" s="1"/>
      <c r="C24" s="4"/>
    </row>
    <row r="25" spans="1:3" ht="15">
      <c r="A25" s="1" t="str">
        <f>"3993"</f>
        <v>3993</v>
      </c>
      <c r="B25" s="1" t="str">
        <f>"Erhållna donationer och gåvor"</f>
        <v>Erhållna donationer och gåvor</v>
      </c>
      <c r="C25" s="4"/>
    </row>
    <row r="26" spans="1:3" ht="15">
      <c r="A26" s="5" t="s">
        <v>4</v>
      </c>
      <c r="B26" s="5"/>
      <c r="C26" s="6">
        <f>SUM(C12:C25)</f>
        <v>2555500</v>
      </c>
    </row>
    <row r="27" spans="1:3" ht="15">
      <c r="A27" s="5" t="s">
        <v>5</v>
      </c>
      <c r="B27" s="5"/>
      <c r="C27" s="6">
        <f>C11+C26</f>
        <v>5334500</v>
      </c>
    </row>
    <row r="28" spans="1:3" ht="15">
      <c r="A28" s="1" t="str">
        <f>"4007"</f>
        <v>4007</v>
      </c>
      <c r="B28" s="1" t="str">
        <f>"Inköp för Sjö- &amp; Nav kurser (varukostnad)"</f>
        <v>Inköp för Sjö- &amp; Nav kurser (varukostnad)</v>
      </c>
      <c r="C28" s="4"/>
    </row>
    <row r="29" spans="1:3" ht="15">
      <c r="A29" s="1" t="str">
        <f>"4008"</f>
        <v>4008</v>
      </c>
      <c r="B29" s="1" t="str">
        <f>"Inköp för Hantverkskurser (varukostnad)"</f>
        <v>Inköp för Hantverkskurser (varukostnad)</v>
      </c>
      <c r="C29" s="4"/>
    </row>
    <row r="30" spans="1:3" ht="15">
      <c r="A30" s="1" t="str">
        <f>"4009"</f>
        <v>4009</v>
      </c>
      <c r="B30" s="1" t="str">
        <f>"Inköp för Sommarsegling (varukostnad)"</f>
        <v>Inköp för Sommarsegling (varukostnad)</v>
      </c>
      <c r="C30" s="4"/>
    </row>
    <row r="31" spans="1:3" ht="15">
      <c r="A31" s="1" t="str">
        <f>"4010"</f>
        <v>4010</v>
      </c>
      <c r="B31" s="1" t="str">
        <f>"Inköp material och varor"</f>
        <v>Inköp material och varor</v>
      </c>
      <c r="C31" s="4">
        <v>-145000</v>
      </c>
    </row>
    <row r="32" spans="1:3" ht="15">
      <c r="A32" s="1" t="str">
        <f>"4013"</f>
        <v>4013</v>
      </c>
      <c r="B32" s="1" t="str">
        <f>"Inköp Öppen verksamhet"</f>
        <v>Inköp Öppen verksamhet</v>
      </c>
      <c r="C32" s="4">
        <v>-12000</v>
      </c>
    </row>
    <row r="33" spans="1:3" ht="15">
      <c r="A33" s="1" t="str">
        <f>"4211"</f>
        <v>4211</v>
      </c>
      <c r="B33" s="1" t="str">
        <f>"Förbrukningsmtrl."</f>
        <v>Förbrukningsmtrl.</v>
      </c>
      <c r="C33" s="4"/>
    </row>
    <row r="34" spans="1:3" ht="15">
      <c r="A34" s="1" t="str">
        <f>"4310"</f>
        <v>4310</v>
      </c>
      <c r="B34" s="1" t="str">
        <f>"Inköp livsmedel"</f>
        <v>Inköp livsmedel</v>
      </c>
      <c r="C34" s="4">
        <v>-12000</v>
      </c>
    </row>
    <row r="35" spans="1:3" ht="15">
      <c r="A35" s="1" t="str">
        <f>"4311"</f>
        <v>4311</v>
      </c>
      <c r="B35" s="1" t="str">
        <f>"Livsmedel Seglingar Shamrock"</f>
        <v>Livsmedel Seglingar Shamrock</v>
      </c>
      <c r="C35" s="4">
        <v>-180000</v>
      </c>
    </row>
    <row r="36" spans="1:3" ht="15">
      <c r="A36" s="1" t="str">
        <f>"4312"</f>
        <v>4312</v>
      </c>
      <c r="B36" s="1" t="str">
        <f>"Livsmedel Seglingar Elmy/Lova"</f>
        <v>Livsmedel Seglingar Elmy/Lova</v>
      </c>
      <c r="C36" s="4">
        <v>-118000</v>
      </c>
    </row>
    <row r="37" spans="1:3" ht="15">
      <c r="A37" s="5" t="s">
        <v>6</v>
      </c>
      <c r="B37" s="5"/>
      <c r="C37" s="6">
        <f>SUM(C28:C36)</f>
        <v>-467000</v>
      </c>
    </row>
    <row r="38" spans="1:3" ht="15">
      <c r="A38" s="5" t="s">
        <v>7</v>
      </c>
      <c r="B38" s="5"/>
      <c r="C38" s="6">
        <f>C27+C37</f>
        <v>4867500</v>
      </c>
    </row>
    <row r="39" spans="1:3" ht="15">
      <c r="A39" s="1" t="str">
        <f>"5010"</f>
        <v>5010</v>
      </c>
      <c r="B39" s="1" t="str">
        <f>"Lokalhyra"</f>
        <v>Lokalhyra</v>
      </c>
      <c r="C39" s="4">
        <v>-340000</v>
      </c>
    </row>
    <row r="40" spans="1:3" ht="15">
      <c r="A40" s="1" t="str">
        <f>"5011"</f>
        <v>5011</v>
      </c>
      <c r="B40" s="1" t="str">
        <f>"Arrende kajerna"</f>
        <v>Arrende kajerna</v>
      </c>
      <c r="C40" s="4">
        <v>-46700</v>
      </c>
    </row>
    <row r="41" spans="1:3" ht="15">
      <c r="A41" s="1" t="str">
        <f>"5020"</f>
        <v>5020</v>
      </c>
      <c r="B41" s="1" t="str">
        <f>"El hyrd lokal"</f>
        <v>El hyrd lokal</v>
      </c>
      <c r="C41" s="4">
        <v>-75000</v>
      </c>
    </row>
    <row r="42" spans="1:3" ht="15">
      <c r="A42" s="1" t="str">
        <f>"5021"</f>
        <v>5021</v>
      </c>
      <c r="B42" s="1" t="str">
        <f>"Smörjoljor (fett,oljor, glykol)"</f>
        <v>Smörjoljor (fett,oljor, glykol)</v>
      </c>
      <c r="C42" s="4">
        <v>-2000</v>
      </c>
    </row>
    <row r="43" spans="1:3" ht="15">
      <c r="A43" s="1" t="str">
        <f>"5022"</f>
        <v>5022</v>
      </c>
      <c r="B43" s="1" t="str">
        <f>"Gas"</f>
        <v>Gas</v>
      </c>
      <c r="C43" s="4">
        <v>-40000</v>
      </c>
    </row>
    <row r="44" spans="1:3" ht="15">
      <c r="A44" s="1" t="str">
        <f>"5050"</f>
        <v>5050</v>
      </c>
      <c r="B44" s="1" t="str">
        <f>"Lokaltillbehör hyrd lokal"</f>
        <v>Lokaltillbehör hyrd lokal</v>
      </c>
      <c r="C44" s="4">
        <v>-5000</v>
      </c>
    </row>
    <row r="45" spans="1:3" ht="15">
      <c r="A45" s="1" t="str">
        <f>"5090"</f>
        <v>5090</v>
      </c>
      <c r="B45" s="1" t="str">
        <f>"Övr kostnader hyrd lokal"</f>
        <v>Övr kostnader hyrd lokal</v>
      </c>
      <c r="C45" s="4">
        <v>-8000</v>
      </c>
    </row>
    <row r="46" spans="1:3" ht="15">
      <c r="A46" s="1" t="str">
        <f>"5201"</f>
        <v>5201</v>
      </c>
      <c r="B46" s="1" t="str">
        <f>"Bränsle fartyg"</f>
        <v>Bränsle fartyg</v>
      </c>
      <c r="C46" s="4">
        <v>-48000</v>
      </c>
    </row>
    <row r="47" spans="1:3" ht="15">
      <c r="A47" s="1" t="str">
        <f>"5202"</f>
        <v>5202</v>
      </c>
      <c r="B47" s="1" t="str">
        <f>"Maskinrum reservdelar Shamrock"</f>
        <v>Maskinrum reservdelar Shamrock</v>
      </c>
      <c r="C47" s="4">
        <v>-4000</v>
      </c>
    </row>
    <row r="48" spans="1:3" ht="15">
      <c r="A48" s="1" t="str">
        <f>"5208"</f>
        <v>5208</v>
      </c>
      <c r="B48" s="1" t="str">
        <f>"Färg"</f>
        <v>Färg</v>
      </c>
      <c r="C48" s="4">
        <v>-10000</v>
      </c>
    </row>
    <row r="49" spans="1:3" ht="15">
      <c r="A49" s="1" t="str">
        <f>"5210"</f>
        <v>5210</v>
      </c>
      <c r="B49" s="1" t="str">
        <f>"Hyra av arbetsmaskiner"</f>
        <v>Hyra av arbetsmaskiner</v>
      </c>
      <c r="C49" s="4">
        <v>-65000</v>
      </c>
    </row>
    <row r="50" spans="1:3" ht="15">
      <c r="A50" s="1" t="str">
        <f>"5213"</f>
        <v>5213</v>
      </c>
      <c r="B50" s="1" t="str">
        <f>"Säkerhetsutrustning Shamrock"</f>
        <v>Säkerhetsutrustning Shamrock</v>
      </c>
      <c r="C50" s="4">
        <v>-30000</v>
      </c>
    </row>
    <row r="51" spans="1:3" ht="15">
      <c r="A51" s="1" t="str">
        <f>"5216"</f>
        <v>5216</v>
      </c>
      <c r="B51" s="1" t="str">
        <f>"Service Radioutrustning"</f>
        <v>Service Radioutrustning</v>
      </c>
      <c r="C51" s="4"/>
    </row>
    <row r="52" spans="1:3" ht="15">
      <c r="A52" s="1" t="str">
        <f>"5219"</f>
        <v>5219</v>
      </c>
      <c r="B52" s="1" t="str">
        <f>"Tågvirke, wire"</f>
        <v>Tågvirke, wire</v>
      </c>
      <c r="C52" s="4">
        <v>-2400</v>
      </c>
    </row>
    <row r="53" spans="1:3" ht="15">
      <c r="A53" s="1" t="str">
        <f>"5221"</f>
        <v>5221</v>
      </c>
      <c r="B53" s="1" t="str">
        <f>"Tömning av tankar"</f>
        <v>Tömning av tankar</v>
      </c>
      <c r="C53" s="4">
        <v>-7000</v>
      </c>
    </row>
    <row r="54" spans="1:3" ht="15">
      <c r="A54" s="1" t="str">
        <f>"5222"</f>
        <v>5222</v>
      </c>
      <c r="B54" s="1" t="str">
        <f>"Hamnavgifter"</f>
        <v>Hamnavgifter</v>
      </c>
      <c r="C54" s="4">
        <v>-7000</v>
      </c>
    </row>
    <row r="55" spans="1:3" ht="15">
      <c r="A55" s="1" t="str">
        <f>"5223"</f>
        <v>5223</v>
      </c>
      <c r="B55" s="1" t="str">
        <f>"Övrigt fartygsunderhåll"</f>
        <v>Övrigt fartygsunderhåll</v>
      </c>
      <c r="C55" s="4">
        <v>-40000</v>
      </c>
    </row>
    <row r="56" spans="1:3" ht="15">
      <c r="A56" s="1" t="str">
        <f>"5226"</f>
        <v>5226</v>
      </c>
      <c r="B56" s="1" t="str">
        <f>"Certifikat Shamrock"</f>
        <v>Certifikat Shamrock</v>
      </c>
      <c r="C56" s="4">
        <v>-8000</v>
      </c>
    </row>
    <row r="57" spans="1:3" ht="15">
      <c r="A57" s="1" t="str">
        <f>"5227"</f>
        <v>5227</v>
      </c>
      <c r="B57" s="1" t="str">
        <f>"Certifikat Elmy/Lova"</f>
        <v>Certifikat Elmy/Lova</v>
      </c>
      <c r="C57" s="4">
        <v>-4400</v>
      </c>
    </row>
    <row r="58" spans="1:3" ht="15">
      <c r="A58" s="1" t="str">
        <f>"5228"</f>
        <v>5228</v>
      </c>
      <c r="B58" s="1" t="str">
        <f>"Navigation Shamrock"</f>
        <v>Navigation Shamrock</v>
      </c>
      <c r="C58" s="4">
        <v>-9000</v>
      </c>
    </row>
    <row r="59" spans="1:3" ht="15">
      <c r="A59" s="1"/>
      <c r="B59" s="1"/>
      <c r="C59" s="4"/>
    </row>
    <row r="60" spans="1:4" ht="15">
      <c r="A60" s="1" t="str">
        <f>"5410"</f>
        <v>5410</v>
      </c>
      <c r="B60" s="1" t="str">
        <f>"Förbrukningsinventarier"</f>
        <v>Förbrukningsinventarier</v>
      </c>
      <c r="C60" s="4">
        <v>-10000</v>
      </c>
      <c r="D60" t="s">
        <v>11</v>
      </c>
    </row>
    <row r="61" spans="1:3" ht="15">
      <c r="A61" s="1" t="str">
        <f>"5420"</f>
        <v>5420</v>
      </c>
      <c r="B61" s="1" t="str">
        <f>"Programvaror"</f>
        <v>Programvaror</v>
      </c>
      <c r="C61" s="4">
        <v>-4000</v>
      </c>
    </row>
    <row r="62" spans="1:3" ht="15">
      <c r="A62" s="1" t="str">
        <f>"5480"</f>
        <v>5480</v>
      </c>
      <c r="B62" s="1" t="str">
        <f>"Skyddsutrustning, personal"</f>
        <v>Skyddsutrustning, personal</v>
      </c>
      <c r="C62" s="4">
        <v>-2000</v>
      </c>
    </row>
    <row r="63" spans="1:3" ht="15">
      <c r="A63" s="1" t="str">
        <f>"5481"</f>
        <v>5481</v>
      </c>
      <c r="B63" s="1" t="str">
        <f>"Arbetskläder"</f>
        <v>Arbetskläder</v>
      </c>
      <c r="C63" s="4">
        <v>-2000</v>
      </c>
    </row>
    <row r="64" spans="1:3" ht="15">
      <c r="A64" s="1" t="str">
        <f>"5611"</f>
        <v>5611</v>
      </c>
      <c r="B64" s="1" t="str">
        <f>"Bränsle, bilar"</f>
        <v>Bränsle, bilar</v>
      </c>
      <c r="C64" s="4"/>
    </row>
    <row r="65" spans="1:3" ht="15">
      <c r="A65" s="1" t="str">
        <f>"5613"</f>
        <v>5613</v>
      </c>
      <c r="B65" s="1" t="str">
        <f>"Försäkring bilar &amp; släp"</f>
        <v>Försäkring bilar &amp; släp</v>
      </c>
      <c r="C65" s="4">
        <v>-9000</v>
      </c>
    </row>
    <row r="66" spans="1:3" ht="15">
      <c r="A66" s="1" t="str">
        <f>"5616"</f>
        <v>5616</v>
      </c>
      <c r="B66" s="1" t="str">
        <f>"Trängselskatt"</f>
        <v>Trängselskatt</v>
      </c>
      <c r="C66" s="4">
        <v>-3000</v>
      </c>
    </row>
    <row r="67" spans="1:3" ht="15">
      <c r="A67" s="1" t="str">
        <f>"5800"</f>
        <v>5800</v>
      </c>
      <c r="B67" s="1" t="str">
        <f>"Resekostnader"</f>
        <v>Resekostnader</v>
      </c>
      <c r="C67" s="4">
        <v>-10000</v>
      </c>
    </row>
    <row r="68" spans="1:3" ht="15">
      <c r="A68" s="1" t="str">
        <f>"5910"</f>
        <v>5910</v>
      </c>
      <c r="B68" s="1" t="str">
        <f>"Marknadsföring"</f>
        <v>Marknadsföring</v>
      </c>
      <c r="C68" s="4">
        <v>-8000</v>
      </c>
    </row>
    <row r="69" spans="1:3" ht="15">
      <c r="A69" s="1" t="str">
        <f>"6071"</f>
        <v>6071</v>
      </c>
      <c r="B69" s="1" t="str">
        <f>"Representation, avdragsgill"</f>
        <v>Representation, avdragsgill</v>
      </c>
      <c r="C69" s="4"/>
    </row>
    <row r="70" spans="1:3" ht="15">
      <c r="A70" s="1" t="str">
        <f>"6072"</f>
        <v>6072</v>
      </c>
      <c r="B70" s="1" t="str">
        <f>"Representation, ej avdragsgill"</f>
        <v>Representation, ej avdragsgill</v>
      </c>
      <c r="C70" s="4">
        <v>-3000</v>
      </c>
    </row>
    <row r="71" spans="1:3" ht="15">
      <c r="A71" s="1" t="str">
        <f>"6110"</f>
        <v>6110</v>
      </c>
      <c r="B71" s="1" t="str">
        <f>"Kontorsmaterial"</f>
        <v>Kontorsmaterial</v>
      </c>
      <c r="C71" s="4">
        <v>-24000</v>
      </c>
    </row>
    <row r="72" spans="1:3" ht="15">
      <c r="A72" s="1" t="str">
        <f>"6212"</f>
        <v>6212</v>
      </c>
      <c r="B72" s="1" t="str">
        <f>"Mobiltelefoni"</f>
        <v>Mobiltelefoni</v>
      </c>
      <c r="C72" s="4">
        <v>-30000</v>
      </c>
    </row>
    <row r="73" spans="1:3" ht="15">
      <c r="A73" s="1" t="str">
        <f>"6213"</f>
        <v>6213</v>
      </c>
      <c r="B73" s="1" t="str">
        <f>"VHF Telefoni"</f>
        <v>VHF Telefoni</v>
      </c>
      <c r="C73" s="4">
        <v>-1400</v>
      </c>
    </row>
    <row r="74" spans="1:3" ht="15">
      <c r="A74" s="1" t="str">
        <f>"6232"</f>
        <v>6232</v>
      </c>
      <c r="B74" s="1" t="str">
        <f>"IT - software"</f>
        <v>IT - software</v>
      </c>
      <c r="C74" s="4">
        <v>-10000</v>
      </c>
    </row>
    <row r="75" spans="1:3" ht="15">
      <c r="A75" s="1" t="s">
        <v>12</v>
      </c>
      <c r="B75" s="1" t="s">
        <v>13</v>
      </c>
      <c r="C75" s="4">
        <v>-7000</v>
      </c>
    </row>
    <row r="76" spans="1:3" ht="15">
      <c r="A76" s="1" t="str">
        <f>"6234"</f>
        <v>6234</v>
      </c>
      <c r="B76" s="1" t="str">
        <f>"IT - support"</f>
        <v>IT - support</v>
      </c>
      <c r="C76" s="4">
        <v>-10000</v>
      </c>
    </row>
    <row r="77" spans="1:3" ht="15">
      <c r="A77" s="1" t="str">
        <f>"6250"</f>
        <v>6250</v>
      </c>
      <c r="B77" s="1" t="str">
        <f>"Porto"</f>
        <v>Porto</v>
      </c>
      <c r="C77" s="4">
        <v>-2400</v>
      </c>
    </row>
    <row r="78" spans="1:3" ht="15">
      <c r="A78" s="1" t="str">
        <f>"6310"</f>
        <v>6310</v>
      </c>
      <c r="B78" s="1" t="str">
        <f>"Företagsförsäkringar"</f>
        <v>Företagsförsäkringar</v>
      </c>
      <c r="C78" s="4">
        <v>-37000</v>
      </c>
    </row>
    <row r="79" spans="1:3" ht="15">
      <c r="A79" s="1" t="str">
        <f>"6314"</f>
        <v>6314</v>
      </c>
      <c r="B79" s="1" t="str">
        <f>"Försäkring fartyg Shamrock"</f>
        <v>Försäkring fartyg Shamrock</v>
      </c>
      <c r="C79" s="4">
        <v>-49000</v>
      </c>
    </row>
    <row r="80" spans="1:3" ht="15">
      <c r="A80" s="1" t="str">
        <f>"6315"</f>
        <v>6315</v>
      </c>
      <c r="B80" s="1" t="str">
        <f>"Försäkring fartyg Elmy/Lova"</f>
        <v>Försäkring fartyg Elmy/Lova</v>
      </c>
      <c r="C80" s="4">
        <v>-21000</v>
      </c>
    </row>
    <row r="81" spans="1:3" ht="15">
      <c r="A81" s="1" t="str">
        <f>"6420"</f>
        <v>6420</v>
      </c>
      <c r="B81" s="1" t="str">
        <f>"Revision"</f>
        <v>Revision</v>
      </c>
      <c r="C81" s="4">
        <v>-25000</v>
      </c>
    </row>
    <row r="82" spans="1:3" ht="15">
      <c r="A82" s="1" t="str">
        <f>"6550"</f>
        <v>6550</v>
      </c>
      <c r="B82" s="1" t="str">
        <f>"Konsultarvoden"</f>
        <v>Konsultarvoden</v>
      </c>
      <c r="C82" s="4"/>
    </row>
    <row r="83" spans="1:3" ht="15">
      <c r="A83" s="1" t="str">
        <f>"6570"</f>
        <v>6570</v>
      </c>
      <c r="B83" s="1" t="str">
        <f>"Bankkostnader"</f>
        <v>Bankkostnader</v>
      </c>
      <c r="C83" s="4">
        <v>-14000</v>
      </c>
    </row>
    <row r="84" spans="1:3" ht="15">
      <c r="A84" s="1" t="str">
        <f>"6940"</f>
        <v>6940</v>
      </c>
      <c r="B84" s="1" t="str">
        <f>"Kontroll-, provnings- och stämpelavgifter"</f>
        <v>Kontroll-, provnings- och stämpelavgifter</v>
      </c>
      <c r="C84" s="4">
        <v>-4500</v>
      </c>
    </row>
    <row r="85" spans="1:3" ht="15">
      <c r="A85" s="1" t="str">
        <f>"6970"</f>
        <v>6970</v>
      </c>
      <c r="B85" s="1" t="str">
        <f>"Bibliotek, böcker &amp; mtrl."</f>
        <v>Bibliotek, böcker &amp; mtrl.</v>
      </c>
      <c r="C85" s="4">
        <v>-6000</v>
      </c>
    </row>
    <row r="86" spans="1:3" ht="15">
      <c r="A86" s="1" t="str">
        <f>"6981"</f>
        <v>6981</v>
      </c>
      <c r="B86" s="1" t="str">
        <f>"Medlemsavgifter, årsavtal"</f>
        <v>Medlemsavgifter, årsavtal</v>
      </c>
      <c r="C86" s="4">
        <v>-10200</v>
      </c>
    </row>
    <row r="87" spans="1:4" ht="15">
      <c r="A87" s="7" t="str">
        <f>"6992"</f>
        <v>6992</v>
      </c>
      <c r="B87" s="7" t="str">
        <f>"Övriga externa kostnader, ej avdragsgilla"</f>
        <v>Övriga externa kostnader, ej avdragsgilla</v>
      </c>
      <c r="C87" s="8">
        <v>-15000</v>
      </c>
      <c r="D87" s="9"/>
    </row>
    <row r="88" spans="1:3" ht="15">
      <c r="A88" s="1"/>
      <c r="B88" s="1"/>
      <c r="C88" s="4">
        <f>SUM(C39:C87)</f>
        <v>-1069000</v>
      </c>
    </row>
    <row r="89" spans="1:3" ht="15">
      <c r="A89" s="1" t="str">
        <f>"7012"</f>
        <v>7012</v>
      </c>
      <c r="B89" s="1" t="str">
        <f>"Löner hantverkskurser"</f>
        <v>Löner hantverkskurser</v>
      </c>
      <c r="C89" s="4"/>
    </row>
    <row r="90" spans="1:3" ht="15">
      <c r="A90" s="1" t="str">
        <f>"7020"</f>
        <v>7020</v>
      </c>
      <c r="B90" s="1" t="str">
        <f>"Löner sjöpersonal"</f>
        <v>Löner sjöpersonal</v>
      </c>
      <c r="C90" s="4"/>
    </row>
    <row r="91" spans="1:3" ht="15">
      <c r="A91" s="1" t="str">
        <f>"7021"</f>
        <v>7021</v>
      </c>
      <c r="B91" s="1" t="str">
        <f>"Löner Kolloverksamheten"</f>
        <v>Löner Kolloverksamheten</v>
      </c>
      <c r="C91" s="4"/>
    </row>
    <row r="92" spans="1:3" ht="15">
      <c r="A92" s="1" t="str">
        <f>"7314"</f>
        <v>7314</v>
      </c>
      <c r="B92" s="1" t="str">
        <f>"Måltidskuponger"</f>
        <v>Måltidskuponger</v>
      </c>
      <c r="C92" s="4"/>
    </row>
    <row r="93" spans="1:3" ht="15">
      <c r="A93" s="1" t="str">
        <f>"7331"</f>
        <v>7331</v>
      </c>
      <c r="B93" s="1" t="str">
        <f>"Bilersättningar, skattefria"</f>
        <v>Bilersättningar, skattefria</v>
      </c>
      <c r="C93" s="4"/>
    </row>
    <row r="94" spans="1:3" ht="15">
      <c r="A94" s="1" t="str">
        <f>"7411"</f>
        <v>7411</v>
      </c>
      <c r="B94" s="1" t="str">
        <f>"Collectum"</f>
        <v>Collectum</v>
      </c>
      <c r="C94" s="4"/>
    </row>
    <row r="95" spans="1:3" ht="15">
      <c r="A95" s="1" t="str">
        <f>"7412"</f>
        <v>7412</v>
      </c>
      <c r="B95" s="1" t="str">
        <f>"Fora"</f>
        <v>Fora</v>
      </c>
      <c r="C95" s="4"/>
    </row>
    <row r="96" spans="1:3" ht="15">
      <c r="A96" s="1" t="str">
        <f>"7510"</f>
        <v>7510</v>
      </c>
      <c r="B96" s="1" t="str">
        <f>"Arbetsgivaravgifter"</f>
        <v>Arbetsgivaravgifter</v>
      </c>
      <c r="C96" s="4"/>
    </row>
    <row r="97" spans="1:3" ht="15">
      <c r="A97" s="1" t="str">
        <f>"7520"</f>
        <v>7520</v>
      </c>
      <c r="B97" s="1" t="str">
        <f>"Arbetsgivaravgifter (pensionär)"</f>
        <v>Arbetsgivaravgifter (pensionär)</v>
      </c>
      <c r="C97" s="4"/>
    </row>
    <row r="98" spans="1:3" ht="15">
      <c r="A98" s="1" t="str">
        <f>"7531"</f>
        <v>7531</v>
      </c>
      <c r="B98" s="1" t="str">
        <f>"Löneskatt"</f>
        <v>Löneskatt</v>
      </c>
      <c r="C98" s="4"/>
    </row>
    <row r="99" spans="1:3" ht="15">
      <c r="A99" s="1" t="str">
        <f>"7620"</f>
        <v>7620</v>
      </c>
      <c r="B99" s="1" t="str">
        <f>"Hälso och sjukvård"</f>
        <v>Hälso och sjukvård</v>
      </c>
      <c r="C99" s="4"/>
    </row>
    <row r="100" spans="1:3" ht="15">
      <c r="A100" s="1" t="str">
        <f>"7632"</f>
        <v>7632</v>
      </c>
      <c r="B100" s="1" t="str">
        <f>"Personalrepresentation, ej avdragsgill"</f>
        <v>Personalrepresentation, ej avdragsgill</v>
      </c>
      <c r="C100" s="4"/>
    </row>
    <row r="101" spans="1:4" ht="15">
      <c r="A101" s="7" t="str">
        <f>"7690"</f>
        <v>7690</v>
      </c>
      <c r="B101" s="7" t="str">
        <f>"Personalkostnader"</f>
        <v>Personalkostnader</v>
      </c>
      <c r="C101" s="8">
        <v>-3137080</v>
      </c>
      <c r="D101" s="9"/>
    </row>
    <row r="102" spans="1:3" ht="15">
      <c r="A102" s="1"/>
      <c r="B102" s="1"/>
      <c r="C102" s="4">
        <f>C101</f>
        <v>-3137080</v>
      </c>
    </row>
    <row r="103" spans="1:3" ht="15">
      <c r="A103" s="1" t="str">
        <f>"7830"</f>
        <v>7830</v>
      </c>
      <c r="B103" s="1" t="str">
        <f>"Avskrivning inventarier"</f>
        <v>Avskrivning inventarier</v>
      </c>
      <c r="C103" s="4"/>
    </row>
    <row r="104" spans="1:3" ht="15">
      <c r="A104" s="1" t="str">
        <f>"7831"</f>
        <v>7831</v>
      </c>
      <c r="B104" s="1" t="str">
        <f>"Avskrivning maskiner"</f>
        <v>Avskrivning maskiner</v>
      </c>
      <c r="C104" s="4"/>
    </row>
    <row r="105" spans="1:3" ht="15">
      <c r="A105" s="1" t="str">
        <f>"7832"</f>
        <v>7832</v>
      </c>
      <c r="B105" s="1" t="str">
        <f>"Avskrivning Verktyg"</f>
        <v>Avskrivning Verktyg</v>
      </c>
      <c r="C105" s="4"/>
    </row>
    <row r="106" spans="1:3" ht="15">
      <c r="A106" s="1" t="str">
        <f>"7839"</f>
        <v>7839</v>
      </c>
      <c r="B106" s="1" t="str">
        <f>"Avskrivningar Fartyg"</f>
        <v>Avskrivningar Fartyg</v>
      </c>
      <c r="C106" s="4">
        <v>-112500</v>
      </c>
    </row>
    <row r="107" spans="1:4" ht="15">
      <c r="A107" s="3"/>
      <c r="B107" s="3"/>
      <c r="C107" s="3"/>
      <c r="D107" s="3"/>
    </row>
    <row r="108" spans="1:3" ht="15">
      <c r="A108" s="1" t="str">
        <f>"Resultat"</f>
        <v>Resultat</v>
      </c>
      <c r="C108" s="4">
        <f>C106+C102+C88+C38</f>
        <v>548920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kristoffer</cp:lastModifiedBy>
  <cp:lastPrinted>2017-02-22T10:12:46Z</cp:lastPrinted>
  <dcterms:created xsi:type="dcterms:W3CDTF">2017-02-18T13:28:45Z</dcterms:created>
  <dcterms:modified xsi:type="dcterms:W3CDTF">2017-04-24T09:52:22Z</dcterms:modified>
  <cp:category/>
  <cp:version/>
  <cp:contentType/>
  <cp:contentStatus/>
</cp:coreProperties>
</file>